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SUS 2018-12-10\Dossiers\Mon bureau\Mes sites web\Sites web\La Belgique pour les étudiants\Dossiers\"/>
    </mc:Choice>
  </mc:AlternateContent>
  <xr:revisionPtr revIDLastSave="0" documentId="13_ncr:1_{B4FB5D3E-E200-45FB-9A62-5BD663D6253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arlements" sheetId="6" r:id="rId1"/>
    <sheet name="fichier parlement" sheetId="7" r:id="rId2"/>
  </sheets>
  <definedNames>
    <definedName name="G.CF">#REF!</definedName>
    <definedName name="G.CF.">#REF!</definedName>
    <definedName name="G.F.">#REF!</definedName>
    <definedName name="G.G.">#REF!</definedName>
    <definedName name="G.RB">#REF!</definedName>
    <definedName name="G.W.">#REF!</definedName>
    <definedName name="GCF">#REF!</definedName>
    <definedName name="GF">#REF!</definedName>
    <definedName name="GFl">#REF!</definedName>
    <definedName name="GG">#REF!</definedName>
    <definedName name="GRB">#REF!</definedName>
    <definedName name="GW">#REF!</definedName>
    <definedName name="NUM2ROS">'fichier parlement'!$A$2:$A$8</definedName>
    <definedName name="NUMEROS">'fichier parlement'!$A$2:$A$8</definedName>
    <definedName name="PARLEMENTS">'fichier parlement'!#REF!</definedName>
    <definedName name="_xlnm.Print_Area" localSheetId="0">Parlements!$A$1:$H$51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" i="7" l="1"/>
  <c r="L6" i="7"/>
  <c r="L5" i="7"/>
  <c r="L4" i="7"/>
  <c r="L3" i="7"/>
  <c r="L2" i="7"/>
  <c r="M8" i="7" l="1"/>
  <c r="G24" i="6" l="1"/>
  <c r="G48" i="6"/>
  <c r="G46" i="6"/>
  <c r="G44" i="6"/>
  <c r="G38" i="6"/>
  <c r="G36" i="6"/>
  <c r="G34" i="6"/>
  <c r="G32" i="6"/>
  <c r="G30" i="6"/>
  <c r="G28" i="6"/>
  <c r="G26" i="6"/>
  <c r="C48" i="6"/>
  <c r="C46" i="6"/>
  <c r="C44" i="6"/>
  <c r="C40" i="6"/>
  <c r="E38" i="6"/>
  <c r="D38" i="6"/>
  <c r="C38" i="6"/>
  <c r="E36" i="6"/>
  <c r="D36" i="6"/>
  <c r="C36" i="6"/>
  <c r="E34" i="6"/>
  <c r="C34" i="6"/>
  <c r="E32" i="6"/>
  <c r="D32" i="6"/>
  <c r="C32" i="6"/>
  <c r="C30" i="6"/>
  <c r="E28" i="6"/>
  <c r="D28" i="6"/>
  <c r="C28" i="6"/>
  <c r="E26" i="6"/>
  <c r="D26" i="6"/>
  <c r="C26" i="6"/>
  <c r="C24" i="6" l="1"/>
  <c r="G15" i="6"/>
  <c r="G21" i="6" l="1"/>
  <c r="C21" i="6"/>
  <c r="D18" i="6"/>
  <c r="C15" i="6"/>
  <c r="D12" i="6"/>
  <c r="G9" i="6"/>
  <c r="C9" i="6"/>
  <c r="D6" i="6"/>
  <c r="L9" i="7" l="1"/>
  <c r="M9" i="7"/>
</calcChain>
</file>

<file path=xl/sharedStrings.xml><?xml version="1.0" encoding="utf-8"?>
<sst xmlns="http://schemas.openxmlformats.org/spreadsheetml/2006/main" count="143" uniqueCount="106">
  <si>
    <t>N°</t>
  </si>
  <si>
    <t>MR</t>
  </si>
  <si>
    <t>OPEN VLD</t>
  </si>
  <si>
    <t>CDH</t>
  </si>
  <si>
    <t>CD&amp;V</t>
  </si>
  <si>
    <t>SP.A</t>
  </si>
  <si>
    <t>N-VA</t>
  </si>
  <si>
    <t>SP</t>
  </si>
  <si>
    <t>Pro DG</t>
  </si>
  <si>
    <t>ProDG</t>
  </si>
  <si>
    <t>PFF</t>
  </si>
  <si>
    <t>PARLEMENTS</t>
  </si>
  <si>
    <t>PRESIDENT</t>
  </si>
  <si>
    <t>NOMBRE
DE DEPUTES</t>
  </si>
  <si>
    <t>DEPUTES
Ps</t>
  </si>
  <si>
    <t>DEPUTES
CDH</t>
  </si>
  <si>
    <t>DEPUTES
Ecolo</t>
  </si>
  <si>
    <t>DEPUTES
MR</t>
  </si>
  <si>
    <t>DEPUTES
CD&amp;V</t>
  </si>
  <si>
    <t>DEPUTES
N-VA</t>
  </si>
  <si>
    <t>DEPUTES
Open Vld</t>
  </si>
  <si>
    <t>DEPUTES
sp.a</t>
  </si>
  <si>
    <t>DEPUTES
Indépendant</t>
  </si>
  <si>
    <t>VB</t>
  </si>
  <si>
    <t>NOMBRE
DE SENATEURS</t>
  </si>
  <si>
    <t>SENATEURS
Ps</t>
  </si>
  <si>
    <t>SENATEURS
MR</t>
  </si>
  <si>
    <t>SENATEURS
Ecolo</t>
  </si>
  <si>
    <t>SENATEURS
CDH</t>
  </si>
  <si>
    <t>SENATEURS
N-VA</t>
  </si>
  <si>
    <t>SENATEURS
CD&amp;V</t>
  </si>
  <si>
    <t>SENATEURS
sp.a</t>
  </si>
  <si>
    <t>SENATEURS
Open Vld</t>
  </si>
  <si>
    <t>SENATEURS
VB</t>
  </si>
  <si>
    <t>SENATEURS
Groen!</t>
  </si>
  <si>
    <t>SENATEURS
Indépendant</t>
  </si>
  <si>
    <t>DEPUTES
CSP=CDH</t>
  </si>
  <si>
    <t>DEPUTES
SP=Ps</t>
  </si>
  <si>
    <t>DEPUTES
PFF=MR</t>
  </si>
  <si>
    <t>DEPUTES
ProDG
Belges Germanophones</t>
  </si>
  <si>
    <t>DEPUTES
Vivant</t>
  </si>
  <si>
    <t>DEPUTES
Union des
Francophones</t>
  </si>
  <si>
    <t>TOTAL SANS LA COMMUNAUTE FRANCAISE</t>
  </si>
  <si>
    <t>1er VICE-PRESIDENT</t>
  </si>
  <si>
    <t>2e VICE-PRESIDENT</t>
  </si>
  <si>
    <t>PARTI</t>
  </si>
  <si>
    <t>FDF</t>
  </si>
  <si>
    <t>ECOLO</t>
  </si>
  <si>
    <t>VIVANT</t>
  </si>
  <si>
    <t>GROEN</t>
  </si>
  <si>
    <t>CSP</t>
  </si>
  <si>
    <t>PS</t>
  </si>
  <si>
    <t>Mouvement Réformateur</t>
  </si>
  <si>
    <t>Parti Socialiste</t>
  </si>
  <si>
    <t xml:space="preserve"> Le Parlement Fédéral</t>
  </si>
  <si>
    <t>Le Sénat</t>
  </si>
  <si>
    <t>Le Parlement de la Communauté Flamande</t>
  </si>
  <si>
    <t>Le Parlement de la Communauté Française</t>
  </si>
  <si>
    <t>Le Parlement de la Communauté Germanophone</t>
  </si>
  <si>
    <t>Le Parlement de la Région Bruxelles-Capitale</t>
  </si>
  <si>
    <t>ABREGE</t>
  </si>
  <si>
    <t>PARTI POLITIQUE</t>
  </si>
  <si>
    <t>NOMBRE TOTAL
DE DEPUTES
 DE DEPUTES</t>
  </si>
  <si>
    <t>NOMBRE TOTAL
DE SENATEURS</t>
  </si>
  <si>
    <t>Nieuw - Vlaamse Alliantie
Nouvelle Alliance Flamande</t>
  </si>
  <si>
    <t>Christlich Soziale Partei
Parti Social Chrétien</t>
  </si>
  <si>
    <t>Le Parlement de la Région Wallonne</t>
  </si>
  <si>
    <t>UNION DES FRANCOPHONES</t>
  </si>
  <si>
    <t>DEPUTES Ecolo</t>
  </si>
  <si>
    <t>DEPUTES
PP</t>
  </si>
  <si>
    <t>PP</t>
  </si>
  <si>
    <t>PTB-GO</t>
  </si>
  <si>
    <t>Wilfried VANDAELE</t>
  </si>
  <si>
    <t>Lydia KLINKENBERG</t>
  </si>
  <si>
    <t>Pro Deutschsprachigen Gemeinschaft</t>
  </si>
  <si>
    <t>Christophe COLLIGNON</t>
  </si>
  <si>
    <t>Philippe COURARD</t>
  </si>
  <si>
    <t>Patrick DEWAEL</t>
  </si>
  <si>
    <t>open VLD</t>
  </si>
  <si>
    <t>Vlaams Liberaal Democraten      Parti libéral flamand</t>
  </si>
  <si>
    <t xml:space="preserve">DEPUTES               PTB-PVDA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</si>
  <si>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DEPUTES
DEFI</t>
  </si>
  <si>
    <t>DEPUTES
VLAAMS BELANG</t>
  </si>
  <si>
    <t>DEPUTES
Groen</t>
  </si>
  <si>
    <t>Karl-Heinz LAMBERTZ</t>
  </si>
  <si>
    <t>Sozialistische Partei</t>
  </si>
  <si>
    <t>Patricia CREUTZ-VILVOYE</t>
  </si>
  <si>
    <t>Rachid MADRANE</t>
  </si>
  <si>
    <t>Guy VANHENGEL</t>
  </si>
  <si>
    <t>openVLD</t>
  </si>
  <si>
    <t>Sabine LARUELLE</t>
  </si>
  <si>
    <t>Sybille de COSTER-BAUCHAU</t>
  </si>
  <si>
    <t>Matthieu DAELE</t>
  </si>
  <si>
    <r>
      <t>P</t>
    </r>
    <r>
      <rPr>
        <b/>
        <sz val="11"/>
        <color theme="1"/>
        <rFont val="Calibri"/>
        <family val="2"/>
      </rPr>
      <t>S</t>
    </r>
  </si>
  <si>
    <r>
      <rPr>
        <b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>p</t>
    </r>
  </si>
  <si>
    <t>Stijn BEX</t>
  </si>
  <si>
    <t>Andries GRYFFROY</t>
  </si>
  <si>
    <t>Valérie VAN PEEL</t>
  </si>
  <si>
    <t>Cécile THIBAUT</t>
  </si>
  <si>
    <t>Filip DEWINTER</t>
  </si>
  <si>
    <t>Vlaams Belang</t>
  </si>
  <si>
    <t>Jolke SCHAUVLIEGE</t>
  </si>
  <si>
    <t>Christen-Democratisch en Vlaams</t>
  </si>
  <si>
    <t>CD &amp; V</t>
  </si>
  <si>
    <t>Jaqueline GALANT</t>
  </si>
  <si>
    <t>Manu DISABATO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</si>
</sst>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C000"/>
      <name val="Calibri"/>
      <family val="2"/>
    </font>
    <font>
      <sz val="12"/>
      <color rgb="FF0070C0"/>
      <name val="Calibri"/>
      <family val="2"/>
    </font>
    <font>
      <sz val="16"/>
      <color theme="1"/>
      <name val="Calibri"/>
      <family val="2"/>
    </font>
    <font>
      <sz val="2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rgb="FF252525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222222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141215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9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0" fillId="2" borderId="15" xfId="0" applyFill="1" applyBorder="1"/>
    <xf numFmtId="0" fontId="8" fillId="16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quotePrefix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339966"/>
      <color rgb="FF38B64D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7" dropStyle="combo" dx="16" fmlaLink="$C$2" fmlaRange="'fichier parlement'!$B$2:$B$8" noThreeD="1" sel="7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0</xdr:row>
          <xdr:rowOff>180975</xdr:rowOff>
        </xdr:from>
        <xdr:to>
          <xdr:col>6</xdr:col>
          <xdr:colOff>495300</xdr:colOff>
          <xdr:row>3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r.wikipedia.org/wiki/Christen-Democratisch_en_Vlaams" TargetMode="External"/><Relationship Id="rId2" Type="http://schemas.openxmlformats.org/officeDocument/2006/relationships/hyperlink" Target="http://www.senaat.be/www/?MIval=/showSenator&amp;ID=4366&amp;LANG=fr" TargetMode="External"/><Relationship Id="rId1" Type="http://schemas.openxmlformats.org/officeDocument/2006/relationships/hyperlink" Target="http://www.senaat.be/www/?MIval=/showSenator&amp;ID=4703&amp;LANG=fr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56"/>
  <sheetViews>
    <sheetView tabSelected="1" view="pageBreakPreview" zoomScale="90" zoomScaleNormal="100" zoomScaleSheetLayoutView="90" workbookViewId="0">
      <selection activeCell="L8" sqref="L8"/>
    </sheetView>
  </sheetViews>
  <sheetFormatPr baseColWidth="10" defaultRowHeight="15.75" x14ac:dyDescent="0.25"/>
  <cols>
    <col min="1" max="1" width="2.625" customWidth="1"/>
    <col min="2" max="2" width="24.5" bestFit="1" customWidth="1"/>
    <col min="3" max="5" width="6.625" customWidth="1"/>
    <col min="6" max="6" width="11.625" customWidth="1"/>
    <col min="7" max="7" width="6.625" customWidth="1"/>
    <col min="8" max="8" width="2.625" customWidth="1"/>
  </cols>
  <sheetData>
    <row r="1" spans="1:11" ht="15.6" customHeight="1" x14ac:dyDescent="0.25">
      <c r="A1" s="8"/>
      <c r="B1" s="8"/>
      <c r="C1" s="8"/>
      <c r="D1" s="8"/>
      <c r="E1" s="8"/>
      <c r="F1" s="8"/>
      <c r="G1" s="8"/>
      <c r="H1" s="8"/>
    </row>
    <row r="2" spans="1:11" ht="15.6" customHeight="1" x14ac:dyDescent="0.25">
      <c r="A2" s="8"/>
      <c r="B2" s="50" t="s">
        <v>11</v>
      </c>
      <c r="C2" s="48">
        <v>7</v>
      </c>
      <c r="D2" s="49"/>
      <c r="E2" s="49"/>
      <c r="F2" s="49"/>
      <c r="G2" s="49"/>
      <c r="H2" s="2"/>
      <c r="I2" s="20"/>
      <c r="J2" s="20"/>
      <c r="K2" s="20"/>
    </row>
    <row r="3" spans="1:11" ht="15.6" customHeight="1" x14ac:dyDescent="0.25">
      <c r="A3" s="8"/>
      <c r="B3" s="51"/>
      <c r="C3" s="48"/>
      <c r="D3" s="49"/>
      <c r="E3" s="49"/>
      <c r="F3" s="49"/>
      <c r="G3" s="49"/>
      <c r="H3" s="8"/>
    </row>
    <row r="4" spans="1:11" ht="15.6" customHeight="1" x14ac:dyDescent="0.25">
      <c r="A4" s="8"/>
      <c r="B4" s="52"/>
      <c r="C4" s="48"/>
      <c r="D4" s="49"/>
      <c r="E4" s="49"/>
      <c r="F4" s="49"/>
      <c r="G4" s="49"/>
      <c r="H4" s="8"/>
    </row>
    <row r="5" spans="1:11" ht="15.6" customHeight="1" x14ac:dyDescent="0.25">
      <c r="A5" s="8"/>
      <c r="B5" s="8"/>
      <c r="D5" s="2"/>
      <c r="E5" s="2"/>
      <c r="F5" s="9"/>
      <c r="G5" s="8"/>
      <c r="H5" s="8"/>
    </row>
    <row r="6" spans="1:11" ht="15.6" customHeight="1" x14ac:dyDescent="0.25">
      <c r="A6" s="8"/>
      <c r="B6" s="65" t="s">
        <v>12</v>
      </c>
      <c r="C6" s="66"/>
      <c r="D6" s="79" t="str">
        <f>VLOOKUP($C$2,'fichier parlement'!$A$2:$AS$8,3,0)</f>
        <v>Sabine LARUELLE</v>
      </c>
      <c r="E6" s="80"/>
      <c r="F6" s="80"/>
      <c r="G6" s="81"/>
      <c r="H6" s="8"/>
    </row>
    <row r="7" spans="1:11" ht="15.6" customHeight="1" x14ac:dyDescent="0.25">
      <c r="A7" s="8"/>
      <c r="B7" s="67"/>
      <c r="C7" s="68"/>
      <c r="D7" s="82"/>
      <c r="E7" s="83"/>
      <c r="F7" s="83"/>
      <c r="G7" s="84"/>
      <c r="H7" s="8"/>
    </row>
    <row r="8" spans="1:11" ht="15.6" customHeight="1" x14ac:dyDescent="0.25">
      <c r="A8" s="8"/>
      <c r="B8" s="8"/>
      <c r="C8" s="8"/>
      <c r="D8" s="2"/>
      <c r="E8" s="2"/>
      <c r="F8" s="7"/>
      <c r="G8" s="8"/>
      <c r="H8" s="8"/>
    </row>
    <row r="9" spans="1:11" ht="15.6" customHeight="1" x14ac:dyDescent="0.25">
      <c r="A9" s="8"/>
      <c r="B9" s="53" t="s">
        <v>45</v>
      </c>
      <c r="C9" s="59" t="str">
        <f>VLOOKUP($C$2,'fichier parlement'!$A$2:$AS$8,4,0)</f>
        <v>Mouvement Réformateur</v>
      </c>
      <c r="D9" s="60"/>
      <c r="E9" s="60"/>
      <c r="F9" s="61"/>
      <c r="G9" s="55" t="str">
        <f>VLOOKUP($C$2,'fichier parlement'!$A$2:$AS$8,5,0)</f>
        <v>MR</v>
      </c>
      <c r="H9" s="8"/>
    </row>
    <row r="10" spans="1:11" ht="15.6" customHeight="1" x14ac:dyDescent="0.25">
      <c r="A10" s="8"/>
      <c r="B10" s="54"/>
      <c r="C10" s="62"/>
      <c r="D10" s="63"/>
      <c r="E10" s="63"/>
      <c r="F10" s="64"/>
      <c r="G10" s="56"/>
      <c r="H10" s="8"/>
    </row>
    <row r="11" spans="1:11" ht="15.6" customHeight="1" x14ac:dyDescent="0.25">
      <c r="A11" s="8"/>
      <c r="B11" s="8"/>
      <c r="D11" s="2"/>
      <c r="E11" s="2"/>
      <c r="F11" s="7"/>
      <c r="G11" s="8"/>
      <c r="H11" s="8"/>
    </row>
    <row r="12" spans="1:11" ht="15.6" customHeight="1" x14ac:dyDescent="0.25">
      <c r="A12" s="8"/>
      <c r="B12" s="69" t="s">
        <v>43</v>
      </c>
      <c r="C12" s="70"/>
      <c r="D12" s="85" t="str">
        <f>VLOOKUP($C$2,'fichier parlement'!$A$2:$AS$8,6,0)</f>
        <v>Andries GRYFFROY</v>
      </c>
      <c r="E12" s="86"/>
      <c r="F12" s="86"/>
      <c r="G12" s="87"/>
      <c r="H12" s="8"/>
    </row>
    <row r="13" spans="1:11" ht="15.6" customHeight="1" x14ac:dyDescent="0.25">
      <c r="A13" s="8"/>
      <c r="B13" s="71"/>
      <c r="C13" s="72"/>
      <c r="D13" s="88"/>
      <c r="E13" s="89"/>
      <c r="F13" s="89"/>
      <c r="G13" s="90"/>
      <c r="H13" s="8"/>
    </row>
    <row r="14" spans="1:11" ht="15.6" customHeight="1" x14ac:dyDescent="0.25">
      <c r="A14" s="8"/>
      <c r="B14" s="8"/>
      <c r="C14" s="8"/>
      <c r="D14" s="8"/>
      <c r="E14" s="8"/>
      <c r="F14" s="8"/>
      <c r="G14" s="8"/>
    </row>
    <row r="15" spans="1:11" ht="15.6" customHeight="1" x14ac:dyDescent="0.25">
      <c r="A15" s="8"/>
      <c r="B15" s="57" t="s">
        <v>45</v>
      </c>
      <c r="C15" s="73" t="str">
        <f>VLOOKUP($C$2,'fichier parlement'!A2:AS8,7,0)</f>
        <v>Nieuw - Vlaamse Alliantie
Nouvelle Alliance Flamande</v>
      </c>
      <c r="D15" s="74"/>
      <c r="E15" s="74"/>
      <c r="F15" s="75"/>
      <c r="G15" s="57" t="str">
        <f>VLOOKUP($C$2,'fichier parlement'!$A$2:$AS$8,8,0)</f>
        <v>N-VA</v>
      </c>
      <c r="H15" s="8"/>
    </row>
    <row r="16" spans="1:11" ht="15.6" customHeight="1" x14ac:dyDescent="0.25">
      <c r="A16" s="8"/>
      <c r="B16" s="58"/>
      <c r="C16" s="76"/>
      <c r="D16" s="77"/>
      <c r="E16" s="77"/>
      <c r="F16" s="78"/>
      <c r="G16" s="58"/>
    </row>
    <row r="17" spans="1:8" ht="15.6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15.6" customHeight="1" x14ac:dyDescent="0.25">
      <c r="A18" s="8"/>
      <c r="B18" s="44" t="s">
        <v>44</v>
      </c>
      <c r="C18" s="45"/>
      <c r="D18" s="28" t="str">
        <f>VLOOKUP($C$2,'fichier parlement'!$A$2:$AS$8,9,0)</f>
        <v>Stijn BEX</v>
      </c>
      <c r="E18" s="29"/>
      <c r="F18" s="29"/>
      <c r="G18" s="30"/>
      <c r="H18" s="8"/>
    </row>
    <row r="19" spans="1:8" ht="15.6" customHeight="1" x14ac:dyDescent="0.25">
      <c r="A19" s="8"/>
      <c r="B19" s="46"/>
      <c r="C19" s="47"/>
      <c r="D19" s="31"/>
      <c r="E19" s="32"/>
      <c r="F19" s="32"/>
      <c r="G19" s="33"/>
      <c r="H19" s="8"/>
    </row>
    <row r="20" spans="1:8" ht="15.6" customHeight="1" x14ac:dyDescent="0.25">
      <c r="A20" s="8"/>
      <c r="B20" s="8"/>
      <c r="C20" s="8"/>
      <c r="D20" s="8"/>
      <c r="E20" s="8"/>
      <c r="G20" s="8"/>
      <c r="H20" s="8"/>
    </row>
    <row r="21" spans="1:8" ht="15.6" customHeight="1" x14ac:dyDescent="0.25">
      <c r="A21" s="8"/>
      <c r="B21" s="34" t="s">
        <v>45</v>
      </c>
      <c r="C21" s="36" t="str">
        <f>VLOOKUP($C$2,'fichier parlement'!$A$2:$AS$8,10,0)</f>
        <v>ECOLO</v>
      </c>
      <c r="D21" s="37"/>
      <c r="E21" s="37"/>
      <c r="F21" s="38"/>
      <c r="G21" s="34" t="str">
        <f>VLOOKUP($C$2,'fichier parlement'!$A$2:$AS$8,11,0)</f>
        <v>ECOLO</v>
      </c>
      <c r="H21" s="8"/>
    </row>
    <row r="22" spans="1:8" ht="15.6" customHeight="1" x14ac:dyDescent="0.25">
      <c r="A22" s="8"/>
      <c r="B22" s="35"/>
      <c r="C22" s="39"/>
      <c r="D22" s="40"/>
      <c r="E22" s="40"/>
      <c r="F22" s="41"/>
      <c r="G22" s="35"/>
    </row>
    <row r="23" spans="1:8" ht="15.6" customHeight="1" x14ac:dyDescent="0.25">
      <c r="A23" s="8"/>
      <c r="B23" s="8"/>
      <c r="C23" s="8"/>
      <c r="D23" s="8"/>
      <c r="E23" s="8"/>
      <c r="F23" s="8"/>
      <c r="G23" s="8"/>
      <c r="H23" s="8"/>
    </row>
    <row r="24" spans="1:8" ht="30" customHeight="1" x14ac:dyDescent="0.25">
      <c r="A24" s="8"/>
      <c r="B24" s="23" t="s">
        <v>62</v>
      </c>
      <c r="C24" s="21" t="str">
        <f>IF(""=0,"",)&amp;VLOOKUP($C$2,'fichier parlement'!$A$2:$AS$8,12,0)</f>
        <v/>
      </c>
      <c r="D24" s="22"/>
      <c r="E24" s="42" t="s">
        <v>63</v>
      </c>
      <c r="F24" s="43"/>
      <c r="G24" s="21" t="str">
        <f>IF(""=0,"",)&amp;VLOOKUP($C$2,'fichier parlement'!$A$2:$AS$8,13,0)</f>
        <v>60</v>
      </c>
      <c r="H24" s="8"/>
    </row>
    <row r="25" spans="1:8" ht="15.6" customHeight="1" x14ac:dyDescent="0.25">
      <c r="A25" s="8"/>
      <c r="B25" s="8"/>
      <c r="C25" s="8"/>
      <c r="D25" s="8"/>
      <c r="E25" s="8"/>
      <c r="F25" s="8"/>
      <c r="G25" s="8"/>
      <c r="H25" s="8"/>
    </row>
    <row r="26" spans="1:8" ht="15.6" customHeight="1" x14ac:dyDescent="0.25">
      <c r="A26" s="8"/>
      <c r="B26" s="11" t="s">
        <v>3</v>
      </c>
      <c r="C26" s="6" t="str">
        <f>IF(""=0,"",)&amp;VLOOKUP($C$2,'fichier parlement'!$A$2:$AS$8,26,0)</f>
        <v/>
      </c>
      <c r="D26" s="6" t="str">
        <f>IF(""=0,"",)&amp;VLOOKUP($C$2,'fichier parlement'!$A$2:$AS$8,17,0)</f>
        <v>2</v>
      </c>
      <c r="E26" s="6" t="str">
        <f>IF(""=0,"",)&amp;VLOOKUP($C$2,'fichier parlement'!$A$2:$AS$8,19,0)</f>
        <v>5</v>
      </c>
      <c r="F26" s="11" t="s">
        <v>4</v>
      </c>
      <c r="G26" s="6" t="str">
        <f>IF(""=0,"",)&amp;VLOOKUP($C$2,'fichier parlement'!$A$2:$AS$8,31,0)</f>
        <v/>
      </c>
      <c r="H26" s="8"/>
    </row>
    <row r="27" spans="1:8" s="7" customFormat="1" ht="15.6" customHeight="1" x14ac:dyDescent="0.25">
      <c r="A27" s="9"/>
      <c r="B27" s="4"/>
      <c r="C27" s="4"/>
      <c r="D27" s="2"/>
      <c r="E27" s="9"/>
      <c r="F27" s="4"/>
      <c r="G27" s="4"/>
      <c r="H27" s="9"/>
    </row>
    <row r="28" spans="1:8" ht="15.6" customHeight="1" x14ac:dyDescent="0.25">
      <c r="A28" s="8"/>
      <c r="B28" s="10" t="s">
        <v>47</v>
      </c>
      <c r="C28" s="6" t="str">
        <f>IF(""=0,"",)&amp;VLOOKUP($C$2,'fichier parlement'!$A$2:$AS$8,27,0)</f>
        <v/>
      </c>
      <c r="D28" s="6" t="str">
        <f>IF(""=0,"",)&amp;VLOOKUP($C$2,'fichier parlement'!$A$2:$AS$8,16,0)</f>
        <v>5</v>
      </c>
      <c r="E28" s="6" t="str">
        <f>IF(""=0,"",)&amp;VLOOKUP($C$2,'fichier parlement'!$A$2:$AS$8,23,0)</f>
        <v>4</v>
      </c>
      <c r="F28" s="10" t="s">
        <v>49</v>
      </c>
      <c r="G28" s="6" t="str">
        <f>IF(""=0,"",)&amp;VLOOKUP($C$2,'fichier parlement'!$A$2:$AS$8,37,0)</f>
        <v/>
      </c>
      <c r="H28" s="8"/>
    </row>
    <row r="29" spans="1:8" s="7" customFormat="1" ht="15.6" customHeight="1" x14ac:dyDescent="0.25">
      <c r="A29" s="9"/>
      <c r="B29" s="4"/>
      <c r="C29" s="4"/>
      <c r="D29" s="2"/>
      <c r="E29" s="9"/>
      <c r="F29" s="4"/>
      <c r="G29" s="4"/>
      <c r="H29" s="9"/>
    </row>
    <row r="30" spans="1:8" ht="15.6" customHeight="1" x14ac:dyDescent="0.25">
      <c r="A30" s="8"/>
      <c r="B30" s="15" t="s">
        <v>46</v>
      </c>
      <c r="C30" s="6" t="str">
        <f>IF(""=0,"",)&amp;VLOOKUP($C$2,'fichier parlement'!$A$2:$AS$8,30,0)</f>
        <v/>
      </c>
      <c r="D30" s="3"/>
      <c r="E30" s="3"/>
      <c r="F30" s="25" t="s">
        <v>71</v>
      </c>
      <c r="G30" s="6" t="str">
        <f>IF(""=0,"",)&amp;VLOOKUP($C$2,'fichier parlement'!$A$2:$AS$8,36,0)</f>
        <v>5</v>
      </c>
      <c r="H30" s="8"/>
    </row>
    <row r="31" spans="1:8" s="7" customFormat="1" ht="15.6" customHeight="1" x14ac:dyDescent="0.25">
      <c r="A31" s="9"/>
      <c r="B31" s="4"/>
      <c r="C31" s="4"/>
      <c r="D31" s="2"/>
      <c r="E31" s="9"/>
      <c r="F31" s="4"/>
      <c r="G31" s="4"/>
      <c r="H31" s="9"/>
    </row>
    <row r="32" spans="1:8" ht="15.6" customHeight="1" x14ac:dyDescent="0.25">
      <c r="A32" s="8"/>
      <c r="B32" s="5" t="s">
        <v>71</v>
      </c>
      <c r="C32" s="6" t="str">
        <f>IF(""=0,"",)&amp;VLOOKUP($C$2,'fichier parlement'!$A$2:$AS$8,38,0)</f>
        <v/>
      </c>
      <c r="D32" s="6" t="str">
        <f>IF(""=0,"",)&amp;VLOOKUP($C$2,'fichier parlement'!$A$2:$AS$8,24,0)</f>
        <v/>
      </c>
      <c r="E32" s="6" t="str">
        <f>IF(""=0,"",)&amp;VLOOKUP($C$2,'fichier parlement'!$A$2:$AS$8,18,0)</f>
        <v>9</v>
      </c>
      <c r="F32" s="13" t="s">
        <v>6</v>
      </c>
      <c r="G32" s="6" t="str">
        <f>IF(""=0,"",)&amp;VLOOKUP($C$2,'fichier parlement'!$A$2:$AS$8,32,0)</f>
        <v/>
      </c>
      <c r="H32" s="8"/>
    </row>
    <row r="33" spans="1:8" s="7" customFormat="1" ht="12" customHeight="1" x14ac:dyDescent="0.25">
      <c r="A33" s="9"/>
      <c r="B33" s="4"/>
      <c r="C33" s="4"/>
      <c r="D33" s="2"/>
      <c r="E33" s="9"/>
      <c r="F33" s="4"/>
      <c r="G33" s="4"/>
      <c r="H33" s="9"/>
    </row>
    <row r="34" spans="1:8" ht="15.6" customHeight="1" x14ac:dyDescent="0.25">
      <c r="A34" s="8"/>
      <c r="B34" s="16" t="s">
        <v>70</v>
      </c>
      <c r="C34" s="6" t="str">
        <f>IF(""=0,"",)&amp;VLOOKUP($C$2,'fichier parlement'!$A$2:$AS$8,29,0)</f>
        <v/>
      </c>
      <c r="D34" s="3"/>
      <c r="E34" s="3" t="str">
        <f>IF(""=0,"",)&amp;VLOOKUP($C$2,'fichier parlement'!$A$2:$AS$8,21,0)</f>
        <v>5</v>
      </c>
      <c r="F34" s="12" t="s">
        <v>2</v>
      </c>
      <c r="G34" s="6" t="str">
        <f>IF(""=0,"",)&amp;VLOOKUP($C$2,'fichier parlement'!$A$2:$AS$8,33,0)</f>
        <v/>
      </c>
      <c r="H34" s="8"/>
    </row>
    <row r="35" spans="1:8" s="7" customFormat="1" ht="15.6" customHeight="1" x14ac:dyDescent="0.25">
      <c r="A35" s="9"/>
      <c r="B35" s="4"/>
      <c r="C35" s="4"/>
      <c r="D35" s="2"/>
      <c r="E35" s="9"/>
      <c r="F35" s="4"/>
      <c r="G35" s="4"/>
      <c r="H35" s="9"/>
    </row>
    <row r="36" spans="1:8" ht="15.6" customHeight="1" x14ac:dyDescent="0.25">
      <c r="A36" s="8"/>
      <c r="B36" s="12" t="s">
        <v>1</v>
      </c>
      <c r="C36" s="6" t="str">
        <f>IF(""=0,"",)&amp;VLOOKUP($C$2,'fichier parlement'!$A$2:$AS$8,28,0)</f>
        <v/>
      </c>
      <c r="D36" s="6" t="str">
        <f>IF(""=0,"",)&amp;VLOOKUP($C$2,'fichier parlement'!$A$2:$AS$8,15,0)</f>
        <v>6</v>
      </c>
      <c r="E36" s="6" t="str">
        <f>IF(""=0,"",)&amp;VLOOKUP($C$2,'fichier parlement'!$A$2:$AS$8,20,0)</f>
        <v>4</v>
      </c>
      <c r="F36" s="14" t="s">
        <v>5</v>
      </c>
      <c r="G36" s="6" t="str">
        <f>IF(""=0,"",)&amp;VLOOKUP($C$2,'fichier parlement'!$A$2:$AS$8,35,0)</f>
        <v/>
      </c>
      <c r="H36" s="8"/>
    </row>
    <row r="37" spans="1:8" ht="15.6" customHeight="1" x14ac:dyDescent="0.25">
      <c r="A37" s="8"/>
      <c r="B37" s="1"/>
      <c r="C37" s="1"/>
      <c r="D37" s="1"/>
      <c r="E37" s="8"/>
      <c r="F37" s="4"/>
      <c r="G37" s="1"/>
      <c r="H37" s="8"/>
    </row>
    <row r="38" spans="1:8" ht="15.6" customHeight="1" x14ac:dyDescent="0.25">
      <c r="A38" s="8"/>
      <c r="B38" s="14" t="s">
        <v>51</v>
      </c>
      <c r="C38" s="6" t="str">
        <f>IF(""=0,"",)&amp;VLOOKUP($C$2,'fichier parlement'!$A$2:$AS$8,25,0)</f>
        <v/>
      </c>
      <c r="D38" s="6" t="str">
        <f>IF(""=0,"",)&amp;VLOOKUP($C$2,'fichier parlement'!$A$2:$AS$8,14,0)</f>
        <v>7</v>
      </c>
      <c r="E38" s="6" t="str">
        <f>IF(""=0,"",)&amp;VLOOKUP($C$2,'fichier parlement'!$A$2:$AS$8,22,0)</f>
        <v>7</v>
      </c>
      <c r="F38" s="13" t="s">
        <v>23</v>
      </c>
      <c r="G38" s="6" t="str">
        <f>IF(""=0,"",)&amp;VLOOKUP($C$2,'fichier parlement'!$A$2:$AS$8,34,0)</f>
        <v/>
      </c>
      <c r="H38" s="8"/>
    </row>
    <row r="39" spans="1:8" ht="15.6" customHeight="1" x14ac:dyDescent="0.25">
      <c r="A39" s="8"/>
      <c r="B39" s="4"/>
      <c r="C39" s="4"/>
      <c r="D39" s="2"/>
      <c r="E39" s="9"/>
      <c r="F39" s="4"/>
      <c r="G39" s="4"/>
      <c r="H39" s="8"/>
    </row>
    <row r="40" spans="1:8" ht="15.6" customHeight="1" x14ac:dyDescent="0.25">
      <c r="A40" s="8"/>
      <c r="B40" s="17" t="s">
        <v>67</v>
      </c>
      <c r="C40" s="6" t="str">
        <f>IF(""=0,"",)&amp;VLOOKUP($C$2,'fichier parlement'!$A$2:$AS$8,39,0)</f>
        <v/>
      </c>
      <c r="D40" s="3"/>
      <c r="E40" s="3"/>
      <c r="F40" s="5"/>
      <c r="G40" s="6"/>
      <c r="H40" s="8"/>
    </row>
    <row r="41" spans="1:8" ht="15.6" customHeight="1" x14ac:dyDescent="0.25">
      <c r="A41" s="8"/>
      <c r="B41" s="4"/>
      <c r="C41" s="4"/>
      <c r="D41" s="2"/>
      <c r="E41" s="9"/>
      <c r="F41" s="4"/>
      <c r="G41" s="4"/>
      <c r="H41" s="8"/>
    </row>
    <row r="42" spans="1:8" ht="15.6" customHeight="1" x14ac:dyDescent="0.25">
      <c r="A42" s="8"/>
      <c r="B42" s="5"/>
      <c r="C42" s="6"/>
      <c r="D42" s="3"/>
      <c r="E42" s="24"/>
      <c r="F42" s="5"/>
      <c r="G42" s="6"/>
      <c r="H42" s="8"/>
    </row>
    <row r="43" spans="1:8" ht="15.6" customHeight="1" x14ac:dyDescent="0.25">
      <c r="A43" s="8"/>
      <c r="B43" s="4"/>
      <c r="C43" s="4"/>
      <c r="D43" s="2"/>
      <c r="E43" s="9"/>
      <c r="F43" s="4"/>
      <c r="G43" s="4"/>
      <c r="H43" s="8"/>
    </row>
    <row r="44" spans="1:8" ht="15.6" customHeight="1" x14ac:dyDescent="0.25">
      <c r="A44" s="8"/>
      <c r="B44" s="11" t="s">
        <v>50</v>
      </c>
      <c r="C44" s="6" t="str">
        <f>IF(""=0,"",)&amp;VLOOKUP($C$2,'fichier parlement'!$A$2:$AS$8,40,0)</f>
        <v/>
      </c>
      <c r="D44" s="3"/>
      <c r="E44" s="3"/>
      <c r="F44" s="18" t="s">
        <v>9</v>
      </c>
      <c r="G44" s="6" t="str">
        <f>IF(""=0,"",)&amp;VLOOKUP($C$2,'fichier parlement'!$A$2:$AS$8,43,0)</f>
        <v/>
      </c>
      <c r="H44" s="8"/>
    </row>
    <row r="45" spans="1:8" ht="15.6" customHeight="1" x14ac:dyDescent="0.25">
      <c r="A45" s="8"/>
      <c r="B45" s="4"/>
      <c r="C45" s="4"/>
      <c r="D45" s="2"/>
      <c r="E45" s="9"/>
      <c r="F45" s="4"/>
      <c r="G45" s="4"/>
      <c r="H45" s="8"/>
    </row>
    <row r="46" spans="1:8" ht="15.6" customHeight="1" x14ac:dyDescent="0.25">
      <c r="A46" s="8"/>
      <c r="B46" s="10" t="s">
        <v>47</v>
      </c>
      <c r="C46" s="6" t="str">
        <f>IF(""=0,"",)&amp;VLOOKUP($C$2,'fichier parlement'!$A$2:$AS$8,44,0)</f>
        <v/>
      </c>
      <c r="D46" s="3"/>
      <c r="E46" s="3"/>
      <c r="F46" s="14" t="s">
        <v>7</v>
      </c>
      <c r="G46" s="6" t="str">
        <f>IF(""=0,"",)&amp;VLOOKUP($C$2,'fichier parlement'!$A$2:$AS$8,41,0)</f>
        <v/>
      </c>
      <c r="H46" s="8"/>
    </row>
    <row r="47" spans="1:8" ht="15.6" customHeight="1" x14ac:dyDescent="0.25">
      <c r="A47" s="8"/>
      <c r="B47" s="4"/>
      <c r="C47" s="4"/>
      <c r="D47" s="2"/>
      <c r="E47" s="9"/>
      <c r="F47" s="4"/>
      <c r="G47" s="4"/>
      <c r="H47" s="8"/>
    </row>
    <row r="48" spans="1:8" ht="15.6" customHeight="1" x14ac:dyDescent="0.25">
      <c r="A48" s="8"/>
      <c r="B48" s="12" t="s">
        <v>10</v>
      </c>
      <c r="C48" s="6" t="str">
        <f>IF(""=0,"",)&amp;VLOOKUP($C$2,'fichier parlement'!$A$2:$AS$8,42,0)</f>
        <v>1</v>
      </c>
      <c r="D48" s="3"/>
      <c r="E48" s="3"/>
      <c r="F48" s="19" t="s">
        <v>48</v>
      </c>
      <c r="G48" s="6" t="str">
        <f>IF(""=0,"",)&amp;VLOOKUP($C$2,'fichier parlement'!$A$2:$AS$8,45,0)</f>
        <v/>
      </c>
      <c r="H48" s="8"/>
    </row>
    <row r="49" spans="1:8" x14ac:dyDescent="0.25">
      <c r="A49" s="8"/>
      <c r="B49" s="8"/>
      <c r="C49" s="8"/>
      <c r="D49" s="8"/>
      <c r="E49" s="8"/>
      <c r="F49" s="8"/>
      <c r="G49" s="8"/>
      <c r="H49" s="8"/>
    </row>
    <row r="50" spans="1:8" x14ac:dyDescent="0.25">
      <c r="A50" s="8"/>
      <c r="B50" s="8"/>
      <c r="C50" s="8"/>
      <c r="D50" s="8"/>
      <c r="E50" s="8"/>
      <c r="F50" s="8"/>
      <c r="G50" s="8"/>
      <c r="H50" s="8"/>
    </row>
    <row r="51" spans="1:8" x14ac:dyDescent="0.25">
      <c r="A51" s="8"/>
      <c r="B51" s="8"/>
      <c r="C51" s="8"/>
      <c r="D51" s="8"/>
      <c r="E51" s="8"/>
      <c r="F51" s="8"/>
      <c r="G51" s="8"/>
      <c r="H51" s="8"/>
    </row>
    <row r="52" spans="1:8" x14ac:dyDescent="0.25">
      <c r="A52" s="8"/>
      <c r="B52" s="8"/>
      <c r="C52" s="8"/>
      <c r="D52" s="8"/>
      <c r="E52" s="8"/>
      <c r="F52" s="8"/>
      <c r="G52" s="8"/>
      <c r="H52" s="8"/>
    </row>
    <row r="53" spans="1:8" x14ac:dyDescent="0.25">
      <c r="A53" s="8"/>
      <c r="B53" s="8"/>
      <c r="C53" s="8"/>
      <c r="D53" s="8"/>
      <c r="E53" s="8"/>
      <c r="F53" s="8"/>
      <c r="G53" s="8"/>
      <c r="H53" s="8"/>
    </row>
    <row r="54" spans="1:8" x14ac:dyDescent="0.25">
      <c r="A54" s="8"/>
      <c r="B54" s="8"/>
      <c r="C54" s="8"/>
      <c r="D54" s="8"/>
      <c r="E54" s="8"/>
      <c r="F54" s="8"/>
      <c r="G54" s="8"/>
      <c r="H54" s="8"/>
    </row>
    <row r="55" spans="1:8" x14ac:dyDescent="0.25">
      <c r="A55" s="8"/>
      <c r="B55" s="8"/>
      <c r="C55" s="8"/>
      <c r="D55" s="8"/>
      <c r="E55" s="8"/>
      <c r="F55" s="8"/>
      <c r="G55" s="8"/>
      <c r="H55" s="8"/>
    </row>
    <row r="56" spans="1:8" x14ac:dyDescent="0.25">
      <c r="A56" s="8"/>
      <c r="B56" s="8"/>
      <c r="C56" s="8"/>
      <c r="D56" s="8"/>
      <c r="E56" s="8"/>
      <c r="F56" s="8"/>
      <c r="G56" s="8"/>
      <c r="H56" s="8"/>
    </row>
  </sheetData>
  <sheetProtection algorithmName="SHA-512" hashValue="zOUVXIjr0NBpimlGaezfY1UqmtgyCsuwolpqblFpw7wIhfvJAklGMHnonf9dSECUmkUH28EcbZ8sOJIQm1eQJg==" saltValue="JmSHM+1FyjISf2DgCpXXYg==" spinCount="100000" sheet="1" objects="1" scenarios="1"/>
  <dataConsolidate/>
  <mergeCells count="18">
    <mergeCell ref="C2:G4"/>
    <mergeCell ref="B2:B4"/>
    <mergeCell ref="B9:B10"/>
    <mergeCell ref="G9:G10"/>
    <mergeCell ref="B15:B16"/>
    <mergeCell ref="G15:G16"/>
    <mergeCell ref="C9:F10"/>
    <mergeCell ref="B6:C7"/>
    <mergeCell ref="B12:C13"/>
    <mergeCell ref="C15:F16"/>
    <mergeCell ref="D6:G7"/>
    <mergeCell ref="D12:G13"/>
    <mergeCell ref="D18:G19"/>
    <mergeCell ref="B21:B22"/>
    <mergeCell ref="G21:G22"/>
    <mergeCell ref="C21:F22"/>
    <mergeCell ref="E24:F24"/>
    <mergeCell ref="B18:C19"/>
  </mergeCells>
  <printOptions horizontalCentered="1"/>
  <pageMargins left="0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 sizeWithCells="1">
                  <from>
                    <xdr:col>2</xdr:col>
                    <xdr:colOff>9525</xdr:colOff>
                    <xdr:row>0</xdr:row>
                    <xdr:rowOff>180975</xdr:rowOff>
                  </from>
                  <to>
                    <xdr:col>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AS10"/>
  <sheetViews>
    <sheetView zoomScaleNormal="100" workbookViewId="0">
      <selection activeCell="I11" sqref="I11"/>
    </sheetView>
  </sheetViews>
  <sheetFormatPr baseColWidth="10" defaultRowHeight="15" x14ac:dyDescent="0.25"/>
  <cols>
    <col min="1" max="1" width="3.25" style="97" customWidth="1"/>
    <col min="2" max="2" width="40.75" style="97" bestFit="1" customWidth="1"/>
    <col min="3" max="3" width="25.625" style="97" customWidth="1"/>
    <col min="4" max="4" width="29.75" style="97" bestFit="1" customWidth="1"/>
    <col min="5" max="5" width="11" style="97"/>
    <col min="6" max="6" width="25.625" style="97" customWidth="1"/>
    <col min="7" max="7" width="29.75" style="97" bestFit="1" customWidth="1"/>
    <col min="8" max="8" width="9.75" style="97" bestFit="1" customWidth="1"/>
    <col min="9" max="9" width="20.125" style="97" bestFit="1" customWidth="1"/>
    <col min="10" max="10" width="30" style="97" customWidth="1"/>
    <col min="11" max="11" width="9.75" style="97" bestFit="1" customWidth="1"/>
    <col min="12" max="45" width="12.625" style="97" customWidth="1"/>
    <col min="46" max="16384" width="11" style="97"/>
  </cols>
  <sheetData>
    <row r="1" spans="1:45" ht="75" x14ac:dyDescent="0.25">
      <c r="A1" s="95" t="s">
        <v>0</v>
      </c>
      <c r="B1" s="95" t="s">
        <v>11</v>
      </c>
      <c r="C1" s="95" t="s">
        <v>12</v>
      </c>
      <c r="D1" s="95" t="s">
        <v>61</v>
      </c>
      <c r="E1" s="96" t="s">
        <v>60</v>
      </c>
      <c r="F1" s="96" t="s">
        <v>43</v>
      </c>
      <c r="G1" s="95" t="s">
        <v>61</v>
      </c>
      <c r="H1" s="96" t="s">
        <v>60</v>
      </c>
      <c r="I1" s="96" t="s">
        <v>44</v>
      </c>
      <c r="J1" s="95" t="s">
        <v>61</v>
      </c>
      <c r="K1" s="96" t="s">
        <v>60</v>
      </c>
      <c r="L1" s="96" t="s">
        <v>13</v>
      </c>
      <c r="M1" s="96" t="s">
        <v>24</v>
      </c>
      <c r="N1" s="96" t="s">
        <v>25</v>
      </c>
      <c r="O1" s="96" t="s">
        <v>26</v>
      </c>
      <c r="P1" s="96" t="s">
        <v>27</v>
      </c>
      <c r="Q1" s="96" t="s">
        <v>28</v>
      </c>
      <c r="R1" s="96" t="s">
        <v>29</v>
      </c>
      <c r="S1" s="96" t="s">
        <v>30</v>
      </c>
      <c r="T1" s="96" t="s">
        <v>31</v>
      </c>
      <c r="U1" s="96" t="s">
        <v>32</v>
      </c>
      <c r="V1" s="96" t="s">
        <v>33</v>
      </c>
      <c r="W1" s="96" t="s">
        <v>34</v>
      </c>
      <c r="X1" s="96" t="s">
        <v>35</v>
      </c>
      <c r="Y1" s="96" t="s">
        <v>14</v>
      </c>
      <c r="Z1" s="96" t="s">
        <v>15</v>
      </c>
      <c r="AA1" s="96" t="s">
        <v>68</v>
      </c>
      <c r="AB1" s="96" t="s">
        <v>17</v>
      </c>
      <c r="AC1" s="96" t="s">
        <v>69</v>
      </c>
      <c r="AD1" s="96" t="s">
        <v>81</v>
      </c>
      <c r="AE1" s="96" t="s">
        <v>18</v>
      </c>
      <c r="AF1" s="96" t="s">
        <v>19</v>
      </c>
      <c r="AG1" s="96" t="s">
        <v>20</v>
      </c>
      <c r="AH1" s="96" t="s">
        <v>82</v>
      </c>
      <c r="AI1" s="96" t="s">
        <v>21</v>
      </c>
      <c r="AJ1" s="96" t="s">
        <v>80</v>
      </c>
      <c r="AK1" s="96" t="s">
        <v>83</v>
      </c>
      <c r="AL1" s="96" t="s">
        <v>22</v>
      </c>
      <c r="AM1" s="96" t="s">
        <v>41</v>
      </c>
      <c r="AN1" s="96" t="s">
        <v>36</v>
      </c>
      <c r="AO1" s="96" t="s">
        <v>37</v>
      </c>
      <c r="AP1" s="96" t="s">
        <v>38</v>
      </c>
      <c r="AQ1" s="96" t="s">
        <v>39</v>
      </c>
      <c r="AR1" s="96" t="s">
        <v>16</v>
      </c>
      <c r="AS1" s="96" t="s">
        <v>40</v>
      </c>
    </row>
    <row r="2" spans="1:45" ht="30" x14ac:dyDescent="0.25">
      <c r="A2" s="98">
        <v>1</v>
      </c>
      <c r="B2" s="99" t="s">
        <v>54</v>
      </c>
      <c r="C2" s="99" t="s">
        <v>77</v>
      </c>
      <c r="D2" s="100" t="s">
        <v>79</v>
      </c>
      <c r="E2" s="99" t="s">
        <v>78</v>
      </c>
      <c r="F2" s="27" t="s">
        <v>97</v>
      </c>
      <c r="G2" s="100" t="s">
        <v>64</v>
      </c>
      <c r="H2" s="99" t="s">
        <v>6</v>
      </c>
      <c r="I2" s="27" t="s">
        <v>98</v>
      </c>
      <c r="J2" s="118" t="s">
        <v>47</v>
      </c>
      <c r="K2" s="27" t="s">
        <v>47</v>
      </c>
      <c r="L2" s="99">
        <f>SUM(Y2:AL2)</f>
        <v>150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>
        <v>20</v>
      </c>
      <c r="Z2" s="99">
        <v>5</v>
      </c>
      <c r="AA2" s="99"/>
      <c r="AB2" s="99">
        <v>14</v>
      </c>
      <c r="AC2" s="99"/>
      <c r="AD2" s="99">
        <v>2</v>
      </c>
      <c r="AE2" s="99">
        <v>12</v>
      </c>
      <c r="AF2" s="99">
        <v>24</v>
      </c>
      <c r="AG2" s="99">
        <v>12</v>
      </c>
      <c r="AH2" s="99">
        <v>18</v>
      </c>
      <c r="AI2" s="99">
        <v>9</v>
      </c>
      <c r="AJ2" s="99">
        <v>12</v>
      </c>
      <c r="AK2" s="99">
        <v>21</v>
      </c>
      <c r="AL2" s="99">
        <v>1</v>
      </c>
      <c r="AM2" s="99"/>
      <c r="AN2" s="99"/>
      <c r="AO2" s="99"/>
      <c r="AP2" s="99"/>
      <c r="AQ2" s="99"/>
      <c r="AR2" s="99"/>
      <c r="AS2" s="103"/>
    </row>
    <row r="3" spans="1:45" ht="31.5" customHeight="1" x14ac:dyDescent="0.25">
      <c r="A3" s="98">
        <v>2</v>
      </c>
      <c r="B3" s="99" t="s">
        <v>56</v>
      </c>
      <c r="C3" s="99" t="s">
        <v>72</v>
      </c>
      <c r="D3" s="100" t="s">
        <v>64</v>
      </c>
      <c r="E3" s="99" t="s">
        <v>6</v>
      </c>
      <c r="F3" s="99" t="s">
        <v>99</v>
      </c>
      <c r="G3" s="100" t="s">
        <v>100</v>
      </c>
      <c r="H3" s="99" t="s">
        <v>23</v>
      </c>
      <c r="I3" s="99" t="s">
        <v>101</v>
      </c>
      <c r="J3" s="94" t="s">
        <v>102</v>
      </c>
      <c r="K3" s="99" t="s">
        <v>103</v>
      </c>
      <c r="L3" s="99">
        <f>SUM(AE3:AM3)</f>
        <v>124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>
        <v>19</v>
      </c>
      <c r="AF3" s="99">
        <v>35</v>
      </c>
      <c r="AG3" s="99">
        <v>16</v>
      </c>
      <c r="AH3" s="99">
        <v>23</v>
      </c>
      <c r="AI3" s="99">
        <v>13</v>
      </c>
      <c r="AJ3" s="99">
        <v>4</v>
      </c>
      <c r="AK3" s="99">
        <v>14</v>
      </c>
      <c r="AL3" s="99"/>
      <c r="AM3" s="99"/>
      <c r="AN3" s="99"/>
      <c r="AO3" s="99"/>
      <c r="AP3" s="99"/>
      <c r="AQ3" s="99"/>
      <c r="AR3" s="99"/>
      <c r="AS3" s="103"/>
    </row>
    <row r="4" spans="1:45" ht="31.5" customHeight="1" x14ac:dyDescent="0.25">
      <c r="A4" s="104">
        <v>3</v>
      </c>
      <c r="B4" s="101" t="s">
        <v>57</v>
      </c>
      <c r="C4" s="101" t="s">
        <v>76</v>
      </c>
      <c r="D4" s="101" t="s">
        <v>53</v>
      </c>
      <c r="E4" s="102" t="s">
        <v>93</v>
      </c>
      <c r="F4" s="93" t="s">
        <v>91</v>
      </c>
      <c r="G4" s="99" t="s">
        <v>52</v>
      </c>
      <c r="H4" s="99" t="s">
        <v>1</v>
      </c>
      <c r="I4" s="93" t="s">
        <v>92</v>
      </c>
      <c r="J4" s="100" t="s">
        <v>47</v>
      </c>
      <c r="K4" s="99" t="s">
        <v>47</v>
      </c>
      <c r="L4" s="99">
        <f>SUM(Y4:AK4)</f>
        <v>94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>
        <v>28</v>
      </c>
      <c r="Z4" s="101">
        <v>11</v>
      </c>
      <c r="AA4" s="101">
        <v>16</v>
      </c>
      <c r="AB4" s="101">
        <v>23</v>
      </c>
      <c r="AC4" s="101"/>
      <c r="AD4" s="101">
        <v>3</v>
      </c>
      <c r="AE4" s="101"/>
      <c r="AF4" s="101"/>
      <c r="AG4" s="101"/>
      <c r="AH4" s="101"/>
      <c r="AI4" s="101"/>
      <c r="AJ4" s="101">
        <v>13</v>
      </c>
      <c r="AK4" s="101"/>
      <c r="AL4" s="101"/>
      <c r="AM4" s="101"/>
      <c r="AN4" s="101"/>
      <c r="AO4" s="101"/>
      <c r="AP4" s="101"/>
      <c r="AQ4" s="101"/>
      <c r="AR4" s="101"/>
      <c r="AS4" s="105"/>
    </row>
    <row r="5" spans="1:45" s="108" customFormat="1" ht="30.6" customHeight="1" x14ac:dyDescent="0.25">
      <c r="A5" s="98">
        <v>4</v>
      </c>
      <c r="B5" s="99" t="s">
        <v>58</v>
      </c>
      <c r="C5" s="99" t="s">
        <v>84</v>
      </c>
      <c r="D5" s="26" t="s">
        <v>85</v>
      </c>
      <c r="E5" s="99" t="s">
        <v>94</v>
      </c>
      <c r="F5" s="91" t="s">
        <v>86</v>
      </c>
      <c r="G5" s="106" t="s">
        <v>65</v>
      </c>
      <c r="H5" s="107" t="s">
        <v>50</v>
      </c>
      <c r="I5" s="100" t="s">
        <v>73</v>
      </c>
      <c r="J5" s="26" t="s">
        <v>74</v>
      </c>
      <c r="K5" s="99" t="s">
        <v>8</v>
      </c>
      <c r="L5" s="99">
        <f>SUM(AN5:AS5)</f>
        <v>25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>
        <v>6</v>
      </c>
      <c r="AO5" s="99">
        <v>4</v>
      </c>
      <c r="AP5" s="99">
        <v>3</v>
      </c>
      <c r="AQ5" s="99">
        <v>6</v>
      </c>
      <c r="AR5" s="99">
        <v>3</v>
      </c>
      <c r="AS5" s="103">
        <v>3</v>
      </c>
    </row>
    <row r="6" spans="1:45" ht="31.5" customHeight="1" x14ac:dyDescent="0.25">
      <c r="A6" s="109">
        <v>5</v>
      </c>
      <c r="B6" s="110" t="s">
        <v>59</v>
      </c>
      <c r="C6" s="110" t="s">
        <v>87</v>
      </c>
      <c r="D6" s="102" t="s">
        <v>53</v>
      </c>
      <c r="E6" s="102" t="s">
        <v>93</v>
      </c>
      <c r="F6" s="102" t="s">
        <v>88</v>
      </c>
      <c r="G6" s="100" t="s">
        <v>79</v>
      </c>
      <c r="H6" s="99" t="s">
        <v>89</v>
      </c>
      <c r="I6" s="111"/>
      <c r="J6" s="110"/>
      <c r="K6" s="110"/>
      <c r="L6" s="99">
        <f>SUM(Y6:AK6)</f>
        <v>85</v>
      </c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>
        <v>17</v>
      </c>
      <c r="Z6" s="110">
        <v>6</v>
      </c>
      <c r="AA6" s="110">
        <v>15</v>
      </c>
      <c r="AB6" s="110">
        <v>13</v>
      </c>
      <c r="AC6" s="110"/>
      <c r="AD6" s="110">
        <v>9</v>
      </c>
      <c r="AE6" s="110">
        <v>1</v>
      </c>
      <c r="AF6" s="110">
        <v>3</v>
      </c>
      <c r="AG6" s="110">
        <v>3</v>
      </c>
      <c r="AH6" s="110">
        <v>1</v>
      </c>
      <c r="AI6" s="110">
        <v>3</v>
      </c>
      <c r="AJ6" s="110">
        <v>10</v>
      </c>
      <c r="AK6" s="110">
        <v>4</v>
      </c>
      <c r="AL6" s="110"/>
      <c r="AM6" s="110"/>
      <c r="AN6" s="110"/>
      <c r="AO6" s="110"/>
      <c r="AP6" s="110"/>
      <c r="AQ6" s="110"/>
      <c r="AR6" s="110"/>
      <c r="AS6" s="112"/>
    </row>
    <row r="7" spans="1:45" ht="31.5" customHeight="1" thickBot="1" x14ac:dyDescent="0.3">
      <c r="A7" s="98">
        <v>6</v>
      </c>
      <c r="B7" s="99" t="s">
        <v>66</v>
      </c>
      <c r="C7" s="99" t="s">
        <v>75</v>
      </c>
      <c r="D7" s="99" t="s">
        <v>53</v>
      </c>
      <c r="E7" s="99" t="s">
        <v>93</v>
      </c>
      <c r="F7" s="99" t="s">
        <v>104</v>
      </c>
      <c r="G7" s="99" t="s">
        <v>52</v>
      </c>
      <c r="H7" s="99" t="s">
        <v>1</v>
      </c>
      <c r="I7" s="99" t="s">
        <v>105</v>
      </c>
      <c r="J7" s="99" t="s">
        <v>47</v>
      </c>
      <c r="K7" s="113" t="s">
        <v>47</v>
      </c>
      <c r="L7" s="99">
        <f>SUM(Y7:AK7)</f>
        <v>75</v>
      </c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>
        <v>23</v>
      </c>
      <c r="Z7" s="99">
        <v>10</v>
      </c>
      <c r="AA7" s="99">
        <v>12</v>
      </c>
      <c r="AB7" s="99">
        <v>20</v>
      </c>
      <c r="AC7" s="99"/>
      <c r="AD7" s="99"/>
      <c r="AE7" s="99"/>
      <c r="AF7" s="99"/>
      <c r="AG7" s="99"/>
      <c r="AH7" s="99"/>
      <c r="AI7" s="99"/>
      <c r="AJ7" s="99">
        <v>10</v>
      </c>
      <c r="AK7" s="99"/>
      <c r="AL7" s="99"/>
      <c r="AM7" s="99"/>
      <c r="AN7" s="99"/>
      <c r="AO7" s="99"/>
      <c r="AP7" s="99"/>
      <c r="AQ7" s="99"/>
      <c r="AR7" s="99"/>
      <c r="AS7" s="103"/>
    </row>
    <row r="8" spans="1:45" ht="31.5" customHeight="1" thickTop="1" thickBot="1" x14ac:dyDescent="0.3">
      <c r="A8" s="98">
        <v>7</v>
      </c>
      <c r="B8" s="99" t="s">
        <v>55</v>
      </c>
      <c r="C8" s="99" t="s">
        <v>90</v>
      </c>
      <c r="D8" s="99" t="s">
        <v>52</v>
      </c>
      <c r="E8" s="99" t="s">
        <v>1</v>
      </c>
      <c r="F8" s="94" t="s">
        <v>96</v>
      </c>
      <c r="G8" s="100" t="s">
        <v>64</v>
      </c>
      <c r="H8" s="99" t="s">
        <v>6</v>
      </c>
      <c r="I8" s="92" t="s">
        <v>95</v>
      </c>
      <c r="J8" s="99" t="s">
        <v>47</v>
      </c>
      <c r="K8" s="113" t="s">
        <v>47</v>
      </c>
      <c r="L8" s="99"/>
      <c r="M8" s="99">
        <f>SUM(N8:AS8)</f>
        <v>60</v>
      </c>
      <c r="N8" s="99">
        <v>7</v>
      </c>
      <c r="O8" s="99">
        <v>6</v>
      </c>
      <c r="P8" s="99">
        <v>5</v>
      </c>
      <c r="Q8" s="99">
        <v>2</v>
      </c>
      <c r="R8" s="99">
        <v>9</v>
      </c>
      <c r="S8" s="99">
        <v>5</v>
      </c>
      <c r="T8" s="99">
        <v>4</v>
      </c>
      <c r="U8" s="99">
        <v>5</v>
      </c>
      <c r="V8" s="99">
        <v>7</v>
      </c>
      <c r="W8" s="99">
        <v>4</v>
      </c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>
        <v>5</v>
      </c>
      <c r="AK8" s="99"/>
      <c r="AL8" s="99"/>
      <c r="AM8" s="99"/>
      <c r="AN8" s="99"/>
      <c r="AO8" s="99"/>
      <c r="AP8" s="99">
        <v>1</v>
      </c>
      <c r="AQ8" s="99"/>
      <c r="AR8" s="99"/>
      <c r="AS8" s="103"/>
    </row>
    <row r="9" spans="1:45" ht="16.5" thickTop="1" thickBot="1" x14ac:dyDescent="0.3">
      <c r="A9" s="114"/>
      <c r="B9" s="115"/>
      <c r="C9" s="116" t="s">
        <v>42</v>
      </c>
      <c r="D9" s="116"/>
      <c r="E9" s="116"/>
      <c r="F9" s="116"/>
      <c r="G9" s="116"/>
      <c r="H9" s="116"/>
      <c r="I9" s="116"/>
      <c r="J9" s="115"/>
      <c r="K9" s="115"/>
      <c r="L9" s="115">
        <f>SUM(L2:L8)-L4</f>
        <v>459</v>
      </c>
      <c r="M9" s="115">
        <f>SUM(M2:M7)</f>
        <v>0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7"/>
    </row>
    <row r="10" spans="1:45" ht="15.75" thickTop="1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</row>
  </sheetData>
  <sheetProtection algorithmName="SHA-512" hashValue="4BWqAt2+WjLcDzjCAt/mBIcE/iQEqUvEipRR/kiD5iPeB0HDvUQsLVCScIdyHDxOGNzu3uCvXuS+7higgxVouA==" saltValue="2GL5A7mQ31LXOt9DQoiWnQ==" spinCount="100000" sheet="1" objects="1" scenarios="1"/>
  <sortState ref="A3:AS8">
    <sortCondition ref="B3:B8"/>
  </sortState>
  <mergeCells count="1">
    <mergeCell ref="C9:I9"/>
  </mergeCells>
  <hyperlinks>
    <hyperlink ref="F8" r:id="rId1" display="http://www.senaat.be/www/?MIval=/showSenator&amp;ID=4703&amp;LANG=fr" xr:uid="{CD0BC44C-8A3F-4BE6-B09A-0F85F28BF457}"/>
    <hyperlink ref="I8" r:id="rId2" display="http://www.senaat.be/www/?MIval=/showSenator&amp;ID=4366&amp;LANG=fr" xr:uid="{5AFF3772-D50A-4D84-89BB-E04201B0AC88}"/>
    <hyperlink ref="J3" r:id="rId3" display="https://fr.wikipedia.org/wiki/Christen-Democratisch_en_Vlaams" xr:uid="{A9E47B03-BEA2-4E07-B5C5-E90CF3F5A1E6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Parlements</vt:lpstr>
      <vt:lpstr>fichier parlement</vt:lpstr>
      <vt:lpstr>NUM2ROS</vt:lpstr>
      <vt:lpstr>NUMEROS</vt:lpstr>
      <vt:lpstr>Parlements!Zone_d_impression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CAILLET</dc:creator>
  <cp:lastModifiedBy>Michel CAILLET</cp:lastModifiedBy>
  <cp:lastPrinted>2012-11-19T15:16:15Z</cp:lastPrinted>
  <dcterms:created xsi:type="dcterms:W3CDTF">2012-11-19T13:39:54Z</dcterms:created>
  <dcterms:modified xsi:type="dcterms:W3CDTF">2019-09-10T08:26:47Z</dcterms:modified>
</cp:coreProperties>
</file>